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firstSheet="2" activeTab="12"/>
  </bookViews>
  <sheets>
    <sheet name="январь" sheetId="1" r:id="rId1"/>
    <sheet name="февраль" sheetId="2" r:id="rId2"/>
    <sheet name="март" sheetId="3" r:id="rId3"/>
    <sheet name="апрель" sheetId="4" r:id="rId4"/>
    <sheet name="май" sheetId="5" r:id="rId5"/>
    <sheet name="июнь" sheetId="6" r:id="rId6"/>
    <sheet name="июль" sheetId="7" r:id="rId7"/>
    <sheet name="август" sheetId="8" r:id="rId8"/>
    <sheet name="сентябрь" sheetId="9" r:id="rId9"/>
    <sheet name="октябрь" sheetId="10" r:id="rId10"/>
    <sheet name="ноябрь" sheetId="11" r:id="rId11"/>
    <sheet name="декабрь" sheetId="12" r:id="rId12"/>
    <sheet name="2016"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_________prd2">[1]Титульный!$G$8</definedName>
    <definedName name="____________prd2">[2]Титульный!$G$8</definedName>
    <definedName name="___________prd2">[3]Титульный!$G$8</definedName>
    <definedName name="__________prd2">[4]Титульный!$G$8</definedName>
    <definedName name="_________prd2">[4]Титульный!$G$8</definedName>
    <definedName name="________prd2">[5]Титульный!$G$8</definedName>
    <definedName name="_______prd2">[6]Титульный!$G$8</definedName>
    <definedName name="______prd2">[7]Титульный!$G$8</definedName>
    <definedName name="_____prd2">[8]Титульный!$G$8</definedName>
    <definedName name="____prd2">[9]Титульный!$G$8</definedName>
    <definedName name="___prd2">[10]Титульный!$G$8</definedName>
    <definedName name="__prd2">[11]Титульный!$G$8</definedName>
    <definedName name="_prd2">[12]Титульный!$G$8</definedName>
    <definedName name="god">[12]Титульный!$F$8</definedName>
    <definedName name="org">[12]Титульный!$F$10</definedName>
    <definedName name="sbwt_name">[12]REESTR_ORG!$H$185:$H$207</definedName>
  </definedNames>
  <calcPr calcId="125725"/>
</workbook>
</file>

<file path=xl/calcChain.xml><?xml version="1.0" encoding="utf-8"?>
<calcChain xmlns="http://schemas.openxmlformats.org/spreadsheetml/2006/main">
  <c r="Q22" i="13"/>
  <c r="L22"/>
  <c r="L20" s="1"/>
  <c r="R20" s="1"/>
  <c r="G22"/>
  <c r="G20" s="1"/>
  <c r="V20"/>
  <c r="U20"/>
  <c r="P20"/>
  <c r="O20"/>
  <c r="N20"/>
  <c r="M20"/>
  <c r="K20"/>
  <c r="J20"/>
  <c r="I20"/>
  <c r="H20"/>
  <c r="D18"/>
  <c r="D11"/>
  <c r="D10"/>
  <c r="L22" i="12"/>
  <c r="G22"/>
  <c r="F22"/>
  <c r="F20" s="1"/>
  <c r="V20"/>
  <c r="U20"/>
  <c r="P20"/>
  <c r="O20"/>
  <c r="N20"/>
  <c r="M20"/>
  <c r="L20"/>
  <c r="R20" s="1"/>
  <c r="K20"/>
  <c r="J20"/>
  <c r="I20"/>
  <c r="H20"/>
  <c r="G20"/>
  <c r="D18"/>
  <c r="D11"/>
  <c r="D10"/>
  <c r="Q22" i="11"/>
  <c r="L22"/>
  <c r="G22"/>
  <c r="G20" s="1"/>
  <c r="V20"/>
  <c r="U20"/>
  <c r="P20"/>
  <c r="O20"/>
  <c r="N20"/>
  <c r="M20"/>
  <c r="L20"/>
  <c r="R20" s="1"/>
  <c r="K20"/>
  <c r="J20"/>
  <c r="I20"/>
  <c r="H20"/>
  <c r="D18"/>
  <c r="D11"/>
  <c r="D10"/>
  <c r="Q22" i="10"/>
  <c r="L22"/>
  <c r="L20" s="1"/>
  <c r="R20" s="1"/>
  <c r="G22"/>
  <c r="G20" s="1"/>
  <c r="V20"/>
  <c r="U20"/>
  <c r="P20"/>
  <c r="O20"/>
  <c r="N20"/>
  <c r="M20"/>
  <c r="K20"/>
  <c r="J20"/>
  <c r="I20"/>
  <c r="H20"/>
  <c r="D18"/>
  <c r="D11"/>
  <c r="D10"/>
  <c r="Q22" i="9"/>
  <c r="L22"/>
  <c r="L20" s="1"/>
  <c r="R20" s="1"/>
  <c r="G22"/>
  <c r="F22" s="1"/>
  <c r="V20"/>
  <c r="U20"/>
  <c r="P20"/>
  <c r="O20"/>
  <c r="N20"/>
  <c r="M20"/>
  <c r="K20"/>
  <c r="J20"/>
  <c r="I20"/>
  <c r="H20"/>
  <c r="G20"/>
  <c r="D18"/>
  <c r="D11"/>
  <c r="D10"/>
  <c r="Q22" i="8"/>
  <c r="D10"/>
  <c r="L22"/>
  <c r="L20" s="1"/>
  <c r="R20" s="1"/>
  <c r="G22"/>
  <c r="G20" s="1"/>
  <c r="V20"/>
  <c r="U20"/>
  <c r="P20"/>
  <c r="O20"/>
  <c r="N20"/>
  <c r="M20"/>
  <c r="K20"/>
  <c r="J20"/>
  <c r="I20"/>
  <c r="H20"/>
  <c r="D11"/>
  <c r="Q22" i="5"/>
  <c r="Q22" i="7"/>
  <c r="L22"/>
  <c r="G22"/>
  <c r="F22" s="1"/>
  <c r="V20"/>
  <c r="U20"/>
  <c r="P20"/>
  <c r="O20"/>
  <c r="N20"/>
  <c r="M20"/>
  <c r="L20"/>
  <c r="R20" s="1"/>
  <c r="K20"/>
  <c r="J20"/>
  <c r="I20"/>
  <c r="H20"/>
  <c r="D18"/>
  <c r="D11"/>
  <c r="D10"/>
  <c r="Q22" i="6"/>
  <c r="L22"/>
  <c r="L20" s="1"/>
  <c r="R20" s="1"/>
  <c r="G22"/>
  <c r="F22" s="1"/>
  <c r="V20"/>
  <c r="U20"/>
  <c r="P20"/>
  <c r="O20"/>
  <c r="N20"/>
  <c r="M20"/>
  <c r="K20"/>
  <c r="J20"/>
  <c r="I20"/>
  <c r="H20"/>
  <c r="G20"/>
  <c r="D18"/>
  <c r="D11"/>
  <c r="D10"/>
  <c r="L22" i="5"/>
  <c r="L20" s="1"/>
  <c r="R20" s="1"/>
  <c r="G22"/>
  <c r="G20" s="1"/>
  <c r="V20"/>
  <c r="U20"/>
  <c r="P20"/>
  <c r="O20"/>
  <c r="N20"/>
  <c r="M20"/>
  <c r="K20"/>
  <c r="J20"/>
  <c r="I20"/>
  <c r="H20"/>
  <c r="D18"/>
  <c r="D11"/>
  <c r="D10"/>
  <c r="Q22" i="4"/>
  <c r="L22"/>
  <c r="L20" s="1"/>
  <c r="R20" s="1"/>
  <c r="G22"/>
  <c r="F22" s="1"/>
  <c r="V20"/>
  <c r="U20"/>
  <c r="P20"/>
  <c r="O20"/>
  <c r="N20"/>
  <c r="M20"/>
  <c r="K20"/>
  <c r="J20"/>
  <c r="I20"/>
  <c r="H20"/>
  <c r="G20"/>
  <c r="D18"/>
  <c r="D11"/>
  <c r="D10"/>
  <c r="Q22" i="3"/>
  <c r="L22"/>
  <c r="G22"/>
  <c r="F22"/>
  <c r="V20"/>
  <c r="U20"/>
  <c r="P20"/>
  <c r="O20"/>
  <c r="N20"/>
  <c r="M20"/>
  <c r="L20"/>
  <c r="R20" s="1"/>
  <c r="K20"/>
  <c r="J20"/>
  <c r="I20"/>
  <c r="H20"/>
  <c r="G20"/>
  <c r="D18"/>
  <c r="D11"/>
  <c r="D10"/>
  <c r="Q22" i="2"/>
  <c r="L22"/>
  <c r="G22"/>
  <c r="G20" s="1"/>
  <c r="V20"/>
  <c r="U20"/>
  <c r="P20"/>
  <c r="O20"/>
  <c r="N20"/>
  <c r="M20"/>
  <c r="L20"/>
  <c r="R20" s="1"/>
  <c r="K20"/>
  <c r="J20"/>
  <c r="I20"/>
  <c r="H20"/>
  <c r="D18"/>
  <c r="D11"/>
  <c r="D10"/>
  <c r="Q22" i="1"/>
  <c r="L22"/>
  <c r="G22"/>
  <c r="F22"/>
  <c r="F20" s="1"/>
  <c r="V20"/>
  <c r="U20"/>
  <c r="P20"/>
  <c r="O20"/>
  <c r="N20"/>
  <c r="M20"/>
  <c r="L20"/>
  <c r="R20" s="1"/>
  <c r="K20"/>
  <c r="J20"/>
  <c r="I20"/>
  <c r="H20"/>
  <c r="G20"/>
  <c r="D18"/>
  <c r="D11"/>
  <c r="D10"/>
  <c r="F22" i="13" l="1"/>
  <c r="T22" i="12"/>
  <c r="F22" i="11"/>
  <c r="F22" i="10"/>
  <c r="T22" i="9"/>
  <c r="F20"/>
  <c r="F22" i="8"/>
  <c r="F20" i="7"/>
  <c r="T22"/>
  <c r="G20"/>
  <c r="T22" i="6"/>
  <c r="F20"/>
  <c r="F22" i="5"/>
  <c r="T22" i="4"/>
  <c r="F20"/>
  <c r="T22" i="3"/>
  <c r="T20" s="1"/>
  <c r="Q20" s="1"/>
  <c r="F20"/>
  <c r="F22" i="2"/>
  <c r="T22" i="1"/>
  <c r="T22" i="13" l="1"/>
  <c r="F20"/>
  <c r="S22" i="12"/>
  <c r="T20"/>
  <c r="Q20" s="1"/>
  <c r="T22" i="11"/>
  <c r="F20"/>
  <c r="T22" i="10"/>
  <c r="F20"/>
  <c r="S22" i="9"/>
  <c r="T20"/>
  <c r="Q20" s="1"/>
  <c r="T22" i="8"/>
  <c r="F20"/>
  <c r="S22" i="7"/>
  <c r="T20"/>
  <c r="Q20" s="1"/>
  <c r="S22" i="6"/>
  <c r="T20"/>
  <c r="Q20" s="1"/>
  <c r="T22" i="5"/>
  <c r="F20"/>
  <c r="S22" i="4"/>
  <c r="T20"/>
  <c r="Q20" s="1"/>
  <c r="S22" i="3"/>
  <c r="S20" s="1"/>
  <c r="F20" i="2"/>
  <c r="T22"/>
  <c r="S22" i="1"/>
  <c r="T20"/>
  <c r="Q20" s="1"/>
  <c r="S22" i="13" l="1"/>
  <c r="T20"/>
  <c r="Q20" s="1"/>
  <c r="W22" i="12"/>
  <c r="W20" s="1"/>
  <c r="S20"/>
  <c r="S22" i="11"/>
  <c r="T20"/>
  <c r="Q20" s="1"/>
  <c r="S22" i="10"/>
  <c r="T20"/>
  <c r="Q20" s="1"/>
  <c r="S20" i="9"/>
  <c r="W22"/>
  <c r="W20" s="1"/>
  <c r="S22" i="8"/>
  <c r="T20"/>
  <c r="Q20" s="1"/>
  <c r="W22" i="7"/>
  <c r="W20" s="1"/>
  <c r="S20"/>
  <c r="W22" i="6"/>
  <c r="W20" s="1"/>
  <c r="S20"/>
  <c r="S22" i="5"/>
  <c r="T20"/>
  <c r="Q20" s="1"/>
  <c r="W22" i="4"/>
  <c r="W20" s="1"/>
  <c r="S20"/>
  <c r="W22" i="3"/>
  <c r="W20" s="1"/>
  <c r="S22" i="2"/>
  <c r="T20"/>
  <c r="Q20" s="1"/>
  <c r="S20" i="1"/>
  <c r="W22"/>
  <c r="W20" s="1"/>
  <c r="S20" i="13" l="1"/>
  <c r="W22"/>
  <c r="W20" s="1"/>
  <c r="W22" i="11"/>
  <c r="W20" s="1"/>
  <c r="S20"/>
  <c r="S20" i="10"/>
  <c r="W22"/>
  <c r="W20" s="1"/>
  <c r="S20" i="8"/>
  <c r="W22"/>
  <c r="W20" s="1"/>
  <c r="S20" i="5"/>
  <c r="W22"/>
  <c r="W20" s="1"/>
  <c r="W22" i="2"/>
  <c r="W20" s="1"/>
  <c r="S20"/>
</calcChain>
</file>

<file path=xl/sharedStrings.xml><?xml version="1.0" encoding="utf-8"?>
<sst xmlns="http://schemas.openxmlformats.org/spreadsheetml/2006/main" count="404" uniqueCount="22">
  <si>
    <t>№ п/п</t>
  </si>
  <si>
    <t>Сбытовая организация</t>
  </si>
  <si>
    <t>Объём электроэнергии, тыс.кВтч</t>
  </si>
  <si>
    <t>Цена, руб/кВтч</t>
  </si>
  <si>
    <t>Стоимость, тыс.руб.</t>
  </si>
  <si>
    <t>Стоимость нагрузочных потерь, тыс. руб.</t>
  </si>
  <si>
    <t>Стоимость по счёт-фактуре, тыс. руб.</t>
  </si>
  <si>
    <t>Всего</t>
  </si>
  <si>
    <t>в том числе норматив</t>
  </si>
  <si>
    <t>в том числе сверхнорматив</t>
  </si>
  <si>
    <t>нерегулируемая цена на электрическую энергию с учётом мощности, приобретаемую с целью компенсации нормативной величины технологического расхода потерь</t>
  </si>
  <si>
    <t>нерегулируемая цена на электрическую энергию с учётом мощности</t>
  </si>
  <si>
    <t>в том числе</t>
  </si>
  <si>
    <t>ВН</t>
  </si>
  <si>
    <t>СН 1</t>
  </si>
  <si>
    <t>СН 2</t>
  </si>
  <si>
    <t>НН</t>
  </si>
  <si>
    <t>Удалить</t>
  </si>
  <si>
    <t>1</t>
  </si>
  <si>
    <t>ОАО "Кубаньэнергосбыт"</t>
  </si>
  <si>
    <t>Добавить сбытовую организацию</t>
  </si>
  <si>
    <t>август</t>
  </si>
</sst>
</file>

<file path=xl/styles.xml><?xml version="1.0" encoding="utf-8"?>
<styleSheet xmlns="http://schemas.openxmlformats.org/spreadsheetml/2006/main">
  <fonts count="13">
    <font>
      <sz val="11"/>
      <color theme="1"/>
      <name val="Calibri"/>
      <family val="2"/>
      <charset val="204"/>
      <scheme val="minor"/>
    </font>
    <font>
      <sz val="11"/>
      <color theme="1"/>
      <name val="Calibri"/>
      <family val="2"/>
      <charset val="204"/>
      <scheme val="minor"/>
    </font>
    <font>
      <sz val="11"/>
      <color indexed="8"/>
      <name val="Calibri"/>
      <family val="2"/>
      <charset val="204"/>
    </font>
    <font>
      <sz val="9"/>
      <color indexed="8"/>
      <name val="Tahoma"/>
      <family val="2"/>
      <charset val="204"/>
    </font>
    <font>
      <b/>
      <sz val="9"/>
      <color indexed="8"/>
      <name val="Tahoma"/>
      <family val="2"/>
      <charset val="204"/>
    </font>
    <font>
      <sz val="9"/>
      <name val="Tahoma"/>
      <family val="2"/>
      <charset val="204"/>
    </font>
    <font>
      <b/>
      <sz val="9"/>
      <color indexed="55"/>
      <name val="Tahoma"/>
      <family val="2"/>
      <charset val="204"/>
    </font>
    <font>
      <b/>
      <sz val="9"/>
      <name val="Tahoma"/>
      <family val="2"/>
      <charset val="204"/>
    </font>
    <font>
      <sz val="9"/>
      <color indexed="9"/>
      <name val="Tahoma"/>
      <family val="2"/>
      <charset val="204"/>
    </font>
    <font>
      <b/>
      <u/>
      <sz val="11"/>
      <color indexed="12"/>
      <name val="Arial"/>
      <family val="2"/>
      <charset val="204"/>
    </font>
    <font>
      <b/>
      <u/>
      <sz val="9"/>
      <color indexed="12"/>
      <name val="Tahoma"/>
      <family val="2"/>
      <charset val="204"/>
    </font>
    <font>
      <sz val="8"/>
      <name val="Arial"/>
      <family val="2"/>
    </font>
    <font>
      <b/>
      <sz val="10"/>
      <color indexed="21"/>
      <name val="Arial"/>
    </font>
  </fonts>
  <fills count="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lightDown">
        <fgColor indexed="22"/>
        <bgColor indexed="9"/>
      </patternFill>
    </fill>
  </fills>
  <borders count="32">
    <border>
      <left/>
      <right/>
      <top/>
      <bottom/>
      <diagonal/>
    </border>
    <border>
      <left style="thin">
        <color indexed="63"/>
      </left>
      <right/>
      <top style="thin">
        <color indexed="63"/>
      </top>
      <bottom/>
      <diagonal/>
    </border>
    <border>
      <left/>
      <right/>
      <top style="thin">
        <color indexed="63"/>
      </top>
      <bottom/>
      <diagonal/>
    </border>
    <border>
      <left/>
      <right style="medium">
        <color indexed="63"/>
      </right>
      <top style="thin">
        <color indexed="63"/>
      </top>
      <bottom/>
      <diagonal/>
    </border>
    <border>
      <left style="thin">
        <color indexed="63"/>
      </left>
      <right/>
      <top/>
      <bottom/>
      <diagonal/>
    </border>
    <border>
      <left style="thin">
        <color indexed="63"/>
      </left>
      <right style="thin">
        <color indexed="64"/>
      </right>
      <top style="thin">
        <color indexed="63"/>
      </top>
      <bottom style="thin">
        <color indexed="64"/>
      </bottom>
      <diagonal/>
    </border>
    <border>
      <left style="thin">
        <color indexed="64"/>
      </left>
      <right style="thin">
        <color indexed="64"/>
      </right>
      <top style="thin">
        <color indexed="63"/>
      </top>
      <bottom style="thin">
        <color indexed="64"/>
      </bottom>
      <diagonal/>
    </border>
    <border>
      <left style="thin">
        <color indexed="64"/>
      </left>
      <right style="medium">
        <color indexed="63"/>
      </right>
      <top style="thin">
        <color indexed="63"/>
      </top>
      <bottom style="thin">
        <color indexed="64"/>
      </bottom>
      <diagonal/>
    </border>
    <border>
      <left/>
      <right style="medium">
        <color indexed="63"/>
      </right>
      <top/>
      <bottom/>
      <diagonal/>
    </border>
    <border>
      <left style="thin">
        <color indexed="63"/>
      </left>
      <right style="thin">
        <color indexed="64"/>
      </right>
      <top style="thin">
        <color indexed="64"/>
      </top>
      <bottom style="medium">
        <color indexed="63"/>
      </bottom>
      <diagonal/>
    </border>
    <border>
      <left style="thin">
        <color indexed="64"/>
      </left>
      <right style="thin">
        <color indexed="64"/>
      </right>
      <top style="thin">
        <color indexed="64"/>
      </top>
      <bottom style="medium">
        <color indexed="63"/>
      </bottom>
      <diagonal/>
    </border>
    <border>
      <left style="thin">
        <color indexed="64"/>
      </left>
      <right style="medium">
        <color indexed="63"/>
      </right>
      <top style="thin">
        <color indexed="64"/>
      </top>
      <bottom style="medium">
        <color indexed="63"/>
      </bottom>
      <diagonal/>
    </border>
    <border>
      <left style="thin">
        <color indexed="6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3"/>
      </right>
      <top style="thin">
        <color indexed="64"/>
      </top>
      <bottom style="thin">
        <color indexed="64"/>
      </bottom>
      <diagonal/>
    </border>
    <border>
      <left style="thin">
        <color indexed="63"/>
      </left>
      <right/>
      <top/>
      <bottom style="thin">
        <color indexed="64"/>
      </bottom>
      <diagonal/>
    </border>
    <border>
      <left/>
      <right/>
      <top/>
      <bottom style="thin">
        <color indexed="64"/>
      </bottom>
      <diagonal/>
    </border>
    <border>
      <left/>
      <right style="medium">
        <color indexed="63"/>
      </right>
      <top/>
      <bottom style="thin">
        <color indexed="64"/>
      </bottom>
      <diagonal/>
    </border>
    <border>
      <left style="thin">
        <color indexed="63"/>
      </left>
      <right/>
      <top style="thin">
        <color indexed="64"/>
      </top>
      <bottom style="thin">
        <color indexed="64"/>
      </bottom>
      <diagonal/>
    </border>
    <border>
      <left/>
      <right/>
      <top style="thin">
        <color indexed="64"/>
      </top>
      <bottom style="thin">
        <color indexed="64"/>
      </bottom>
      <diagonal/>
    </border>
    <border>
      <left/>
      <right style="medium">
        <color indexed="63"/>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3"/>
      </left>
      <right/>
      <top style="thin">
        <color indexed="64"/>
      </top>
      <bottom style="medium">
        <color indexed="63"/>
      </bottom>
      <diagonal/>
    </border>
    <border>
      <left/>
      <right/>
      <top style="thin">
        <color indexed="64"/>
      </top>
      <bottom style="medium">
        <color indexed="63"/>
      </bottom>
      <diagonal/>
    </border>
    <border>
      <left/>
      <right style="medium">
        <color indexed="63"/>
      </right>
      <top style="thin">
        <color indexed="64"/>
      </top>
      <bottom style="medium">
        <color indexed="63"/>
      </bottom>
      <diagonal/>
    </border>
    <border>
      <left style="thin">
        <color indexed="63"/>
      </left>
      <right/>
      <top/>
      <bottom style="medium">
        <color indexed="63"/>
      </bottom>
      <diagonal/>
    </border>
    <border>
      <left/>
      <right/>
      <top/>
      <bottom style="medium">
        <color indexed="63"/>
      </bottom>
      <diagonal/>
    </border>
    <border>
      <left/>
      <right style="medium">
        <color indexed="63"/>
      </right>
      <top/>
      <bottom style="medium">
        <color indexed="63"/>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2" fillId="0" borderId="0"/>
    <xf numFmtId="0" fontId="9" fillId="0" borderId="0" applyNumberFormat="0" applyFill="0" applyBorder="0" applyAlignment="0" applyProtection="0">
      <alignment vertical="top"/>
      <protection locked="0"/>
    </xf>
    <xf numFmtId="0" fontId="1" fillId="0" borderId="0"/>
    <xf numFmtId="0" fontId="11" fillId="0" borderId="0"/>
  </cellStyleXfs>
  <cellXfs count="60">
    <xf numFmtId="0" fontId="0" fillId="0" borderId="0" xfId="0"/>
    <xf numFmtId="0" fontId="3" fillId="0" borderId="0" xfId="1" applyFont="1" applyAlignment="1" applyProtection="1">
      <alignment vertical="center"/>
    </xf>
    <xf numFmtId="0" fontId="3" fillId="2" borderId="1" xfId="1" applyFont="1" applyFill="1" applyBorder="1" applyAlignment="1" applyProtection="1">
      <alignment vertical="center"/>
    </xf>
    <xf numFmtId="0" fontId="3" fillId="2" borderId="2" xfId="1" applyFont="1" applyFill="1" applyBorder="1" applyAlignment="1" applyProtection="1">
      <alignment vertical="center"/>
    </xf>
    <xf numFmtId="0" fontId="3" fillId="2" borderId="3" xfId="1" applyFont="1" applyFill="1" applyBorder="1" applyAlignment="1" applyProtection="1">
      <alignment vertical="center"/>
    </xf>
    <xf numFmtId="0" fontId="3" fillId="2" borderId="4" xfId="1" applyFont="1" applyFill="1" applyBorder="1" applyAlignment="1" applyProtection="1">
      <alignment vertical="center"/>
    </xf>
    <xf numFmtId="0" fontId="3" fillId="2" borderId="8" xfId="1" applyFont="1" applyFill="1" applyBorder="1" applyAlignment="1" applyProtection="1">
      <alignment vertical="center"/>
    </xf>
    <xf numFmtId="0" fontId="3" fillId="2" borderId="0" xfId="1" applyFont="1" applyFill="1" applyBorder="1" applyAlignment="1" applyProtection="1">
      <alignment vertical="center"/>
    </xf>
    <xf numFmtId="0" fontId="5" fillId="0" borderId="13" xfId="1" applyNumberFormat="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0" fontId="6" fillId="0" borderId="12" xfId="1" applyFont="1" applyBorder="1" applyAlignment="1" applyProtection="1">
      <alignment horizontal="center" vertical="center"/>
    </xf>
    <xf numFmtId="0" fontId="6" fillId="0" borderId="13" xfId="1" applyFont="1" applyBorder="1" applyAlignment="1" applyProtection="1">
      <alignment horizontal="center" vertical="center"/>
    </xf>
    <xf numFmtId="0" fontId="6" fillId="0" borderId="14" xfId="1" applyFont="1" applyBorder="1" applyAlignment="1" applyProtection="1">
      <alignment horizontal="center" vertical="center"/>
    </xf>
    <xf numFmtId="0" fontId="6" fillId="2" borderId="15" xfId="1" applyFont="1" applyFill="1" applyBorder="1" applyAlignment="1" applyProtection="1">
      <alignment horizontal="center" vertical="center"/>
    </xf>
    <xf numFmtId="0" fontId="6" fillId="2" borderId="16" xfId="1" applyFont="1" applyFill="1" applyBorder="1" applyAlignment="1" applyProtection="1">
      <alignment horizontal="center" vertical="center"/>
    </xf>
    <xf numFmtId="0" fontId="3" fillId="2" borderId="16" xfId="1" applyFont="1" applyFill="1" applyBorder="1" applyAlignment="1" applyProtection="1">
      <alignment vertical="center"/>
    </xf>
    <xf numFmtId="0" fontId="3" fillId="2" borderId="17" xfId="1" applyFont="1" applyFill="1" applyBorder="1" applyAlignment="1" applyProtection="1">
      <alignment vertical="center"/>
    </xf>
    <xf numFmtId="0" fontId="3" fillId="2" borderId="19" xfId="1" applyFont="1" applyFill="1" applyBorder="1" applyAlignment="1" applyProtection="1">
      <alignment vertical="center"/>
    </xf>
    <xf numFmtId="0" fontId="3" fillId="2" borderId="20" xfId="1" applyFont="1" applyFill="1" applyBorder="1" applyAlignment="1" applyProtection="1">
      <alignment vertical="center"/>
    </xf>
    <xf numFmtId="0" fontId="8" fillId="0" borderId="12" xfId="1" applyFont="1" applyFill="1" applyBorder="1" applyAlignment="1" applyProtection="1">
      <alignment horizontal="center" vertical="center"/>
    </xf>
    <xf numFmtId="0" fontId="7" fillId="0" borderId="13" xfId="1" applyFont="1" applyFill="1" applyBorder="1" applyAlignment="1" applyProtection="1">
      <alignment horizontal="center" vertical="center"/>
    </xf>
    <xf numFmtId="4" fontId="3" fillId="5" borderId="13" xfId="1" applyNumberFormat="1" applyFont="1" applyFill="1" applyBorder="1" applyAlignment="1" applyProtection="1">
      <alignment horizontal="center" vertical="center"/>
    </xf>
    <xf numFmtId="4" fontId="3" fillId="5" borderId="14" xfId="1" applyNumberFormat="1" applyFont="1" applyFill="1" applyBorder="1" applyAlignment="1" applyProtection="1">
      <alignment horizontal="center" vertical="center"/>
    </xf>
    <xf numFmtId="0" fontId="10" fillId="2" borderId="21" xfId="2" applyFont="1" applyFill="1" applyBorder="1" applyAlignment="1" applyProtection="1">
      <alignment horizontal="center" vertical="center" wrapText="1"/>
    </xf>
    <xf numFmtId="49" fontId="3" fillId="0" borderId="22" xfId="1" applyNumberFormat="1" applyFont="1" applyFill="1" applyBorder="1" applyAlignment="1" applyProtection="1">
      <alignment horizontal="center" vertical="center"/>
    </xf>
    <xf numFmtId="0" fontId="3" fillId="6" borderId="13" xfId="1" applyFont="1" applyFill="1" applyBorder="1" applyAlignment="1" applyProtection="1">
      <alignment horizontal="center" vertical="center" wrapText="1"/>
      <protection locked="0"/>
    </xf>
    <xf numFmtId="4" fontId="3" fillId="7" borderId="13" xfId="3" applyNumberFormat="1" applyFont="1" applyFill="1" applyBorder="1" applyAlignment="1" applyProtection="1">
      <alignment horizontal="center" vertical="center"/>
      <protection locked="0"/>
    </xf>
    <xf numFmtId="4" fontId="3" fillId="5" borderId="23" xfId="1" applyNumberFormat="1" applyFont="1" applyFill="1" applyBorder="1" applyAlignment="1" applyProtection="1">
      <alignment horizontal="center" vertical="center"/>
    </xf>
    <xf numFmtId="0" fontId="3" fillId="2" borderId="24" xfId="1" applyFont="1" applyFill="1" applyBorder="1" applyAlignment="1" applyProtection="1">
      <alignment vertical="center"/>
    </xf>
    <xf numFmtId="0" fontId="3" fillId="8" borderId="25" xfId="1" applyFont="1" applyFill="1" applyBorder="1" applyAlignment="1" applyProtection="1">
      <alignment vertical="center"/>
    </xf>
    <xf numFmtId="0" fontId="10" fillId="8" borderId="26" xfId="2" applyFont="1" applyFill="1" applyBorder="1" applyAlignment="1" applyProtection="1">
      <alignment horizontal="left" vertical="center" indent="1"/>
    </xf>
    <xf numFmtId="0" fontId="3" fillId="8" borderId="26" xfId="1" applyFont="1" applyFill="1" applyBorder="1" applyAlignment="1" applyProtection="1">
      <alignment vertical="center"/>
    </xf>
    <xf numFmtId="0" fontId="3" fillId="8" borderId="27" xfId="1" applyFont="1" applyFill="1" applyBorder="1" applyAlignment="1" applyProtection="1">
      <alignment vertical="center"/>
    </xf>
    <xf numFmtId="0" fontId="3" fillId="2" borderId="28" xfId="1" applyFont="1" applyFill="1" applyBorder="1" applyAlignment="1" applyProtection="1">
      <alignment vertical="center"/>
    </xf>
    <xf numFmtId="0" fontId="3" fillId="2" borderId="29" xfId="1" applyFont="1" applyFill="1" applyBorder="1" applyAlignment="1" applyProtection="1">
      <alignment vertical="center"/>
    </xf>
    <xf numFmtId="0" fontId="3" fillId="2" borderId="30" xfId="1" applyFont="1" applyFill="1" applyBorder="1" applyAlignment="1" applyProtection="1">
      <alignment vertical="center"/>
    </xf>
    <xf numFmtId="0" fontId="5" fillId="0" borderId="13" xfId="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4" fontId="3" fillId="0" borderId="0" xfId="1" applyNumberFormat="1" applyFont="1" applyAlignment="1" applyProtection="1">
      <alignment vertical="center"/>
    </xf>
    <xf numFmtId="0" fontId="5" fillId="0" borderId="13" xfId="1" applyFont="1" applyBorder="1" applyAlignment="1" applyProtection="1">
      <alignment horizontal="center" vertical="center" wrapText="1"/>
    </xf>
    <xf numFmtId="0" fontId="7" fillId="4" borderId="18" xfId="1" applyFont="1" applyFill="1" applyBorder="1" applyAlignment="1" applyProtection="1">
      <alignment horizontal="center" vertical="center"/>
    </xf>
    <xf numFmtId="0" fontId="7" fillId="4" borderId="19" xfId="1" applyFont="1" applyFill="1" applyBorder="1" applyAlignment="1" applyProtection="1">
      <alignment horizontal="center" vertical="center"/>
    </xf>
    <xf numFmtId="0" fontId="7" fillId="4" borderId="20" xfId="1" applyFont="1" applyFill="1" applyBorder="1" applyAlignment="1" applyProtection="1">
      <alignment horizontal="center" vertical="center"/>
    </xf>
    <xf numFmtId="0" fontId="5" fillId="0" borderId="13" xfId="1" applyFont="1" applyBorder="1" applyAlignment="1" applyProtection="1">
      <alignment horizontal="center" vertical="center" wrapText="1"/>
    </xf>
    <xf numFmtId="0" fontId="4" fillId="3" borderId="5" xfId="1" applyFont="1" applyFill="1" applyBorder="1" applyAlignment="1" applyProtection="1">
      <alignment horizontal="left" vertical="center" indent="5"/>
    </xf>
    <xf numFmtId="0" fontId="4" fillId="3" borderId="6" xfId="1" applyFont="1" applyFill="1" applyBorder="1" applyAlignment="1" applyProtection="1">
      <alignment horizontal="left" vertical="center" indent="5"/>
    </xf>
    <xf numFmtId="0" fontId="4" fillId="3" borderId="7" xfId="1" applyFont="1" applyFill="1" applyBorder="1" applyAlignment="1" applyProtection="1">
      <alignment horizontal="left" vertical="center" indent="5"/>
    </xf>
    <xf numFmtId="0" fontId="4" fillId="3" borderId="9" xfId="1" applyFont="1" applyFill="1" applyBorder="1" applyAlignment="1" applyProtection="1">
      <alignment horizontal="left" vertical="center" indent="5"/>
    </xf>
    <xf numFmtId="0" fontId="4" fillId="3" borderId="10" xfId="1" applyFont="1" applyFill="1" applyBorder="1" applyAlignment="1" applyProtection="1">
      <alignment horizontal="left" vertical="center" indent="5"/>
    </xf>
    <xf numFmtId="0" fontId="4" fillId="3" borderId="11" xfId="1" applyFont="1" applyFill="1" applyBorder="1" applyAlignment="1" applyProtection="1">
      <alignment horizontal="left" vertical="center" indent="5"/>
    </xf>
    <xf numFmtId="0" fontId="3" fillId="0" borderId="5" xfId="1" applyFont="1" applyBorder="1" applyAlignment="1" applyProtection="1">
      <alignment horizontal="center" vertical="center"/>
    </xf>
    <xf numFmtId="0" fontId="3" fillId="0" borderId="12" xfId="1" applyFont="1" applyBorder="1" applyAlignment="1" applyProtection="1">
      <alignment horizontal="center" vertical="center"/>
    </xf>
    <xf numFmtId="0" fontId="3" fillId="0" borderId="6" xfId="1" applyNumberFormat="1" applyFont="1" applyBorder="1" applyAlignment="1" applyProtection="1">
      <alignment horizontal="center" vertical="center" wrapText="1"/>
    </xf>
    <xf numFmtId="0" fontId="3" fillId="0" borderId="13" xfId="1" applyNumberFormat="1" applyFont="1" applyBorder="1" applyAlignment="1" applyProtection="1">
      <alignment horizontal="center" vertical="center" wrapText="1"/>
    </xf>
    <xf numFmtId="0" fontId="5" fillId="0" borderId="6" xfId="1" applyFont="1" applyBorder="1" applyAlignment="1" applyProtection="1">
      <alignment horizontal="center" vertical="center" wrapText="1"/>
    </xf>
    <xf numFmtId="0" fontId="5" fillId="0" borderId="7" xfId="1" applyFont="1" applyBorder="1" applyAlignment="1" applyProtection="1">
      <alignment horizontal="center" vertical="center" wrapText="1"/>
    </xf>
    <xf numFmtId="0" fontId="5" fillId="0" borderId="14" xfId="1" applyFont="1" applyBorder="1" applyAlignment="1" applyProtection="1">
      <alignment horizontal="center" vertical="center" wrapText="1"/>
    </xf>
    <xf numFmtId="4" fontId="12" fillId="2" borderId="31" xfId="4" applyNumberFormat="1" applyFont="1" applyFill="1" applyBorder="1" applyAlignment="1">
      <alignment horizontal="right" vertical="top" wrapText="1"/>
    </xf>
  </cellXfs>
  <cellStyles count="5">
    <cellStyle name="Гиперссылка" xfId="2" builtinId="8"/>
    <cellStyle name="Обычный" xfId="0" builtinId="0"/>
    <cellStyle name="Обычный 4" xfId="3"/>
    <cellStyle name="Обычный_Котёл потребление Сетей(шаблон)" xfId="1"/>
    <cellStyle name="Обычный_сентябрь"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vneva\Downloads\2016%20&#1075;&#1086;&#1076;%20KOTEL.POTERI.NET.FACT.3.23(v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Krivneva\Downloads\&#1084;&#1072;&#1088;&#1090;%202016%20&#1075;%20KOTEL.POTERI.NET.FACT.3.23(v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rivneva\Downloads\&#1092;&#1077;&#1074;&#1088;&#1072;&#1083;&#1100;%202016%20&#1075;%20KOTEL.POTERI.NET.FACT.3.23(v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rivneva\Downloads\&#1103;&#1085;&#1074;&#1072;&#1088;&#1100;%202016%20&#1075;%20KOTEL.POTERI.NET.FACT.3.23(v2.0)%20-%20&#1082;&#1086;&#1087;&#1080;&#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rivneva\Downloads\&#1076;&#1077;&#1082;&#1072;&#1073;&#1088;&#1100;%202016%20&#1075;%20KOTEL.POTERI.NET.FACT.3.23(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rivneva\Downloads\&#1085;&#1086;&#1103;&#1073;&#1088;&#1100;%202016%20&#1075;%20KOTEL.POTERI.NET.FACT.3.23(v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rivneva\Downloads\&#1086;&#1082;&#1090;&#1103;&#1073;&#1088;&#1100;%202016%20&#1075;%20KOTEL.POTERI.NET.FACT.3.23(v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rivneva\Downloads\&#1089;&#1077;&#1085;&#1090;&#1103;&#1073;&#1088;&#1100;%202016%20&#1075;%20KOTEL.POTERI.NET.FACT.3.23(v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1050;&#1042;&#1069;&#1055;\&#1054;&#1054;&#1054;%20&#1050;&#1042;&#1069;&#1055;%20&#1045;&#1048;&#1040;&#1057;\&#1054;&#1054;&#1054;%20&#1045;&#1048;&#1040;&#1057;%202014-2016\&#1076;&#1086;%2020%20&#1077;&#1078;&#1077;&#1084;&#1077;&#1089;%20&#1082;&#1086;&#1090;&#1077;&#1083;%20&#1087;&#1086;&#1090;&#1077;&#1088;&#1080;\2016\&#1080;&#1102;&#1083;&#1100;%202016%20&#1075;%20KOTEL.POTERI.NET.FACT.3.23(v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rivneva\Downloads\&#1080;&#1102;&#1085;&#1100;%202016%20&#1075;%20KOTEL.POTERI.NET.FACT.3.23(v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rivneva\Downloads\&#1084;&#1072;&#1081;%202016%20&#1075;%20KOTEL.POTERI.NET.FACT.3.23(v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rivneva\Downloads\&#1072;&#1087;&#1088;&#1077;&#1083;&#1100;%202016%20&#1075;%20KOTEL.POTERI.NET.FACT.3.23(v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Год</v>
          </cell>
        </row>
      </sheetData>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Март</v>
          </cell>
        </row>
      </sheetData>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ow r="8">
          <cell r="G8" t="str">
            <v>Февраль</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efreshError="1">
        <row r="8">
          <cell r="F8">
            <v>2016</v>
          </cell>
          <cell r="G8" t="str">
            <v>Январь</v>
          </cell>
        </row>
        <row r="10">
          <cell r="F10" t="str">
            <v>ООО "КВЭП"</v>
          </cell>
        </row>
      </sheetData>
      <sheetData sheetId="2" refreshError="1"/>
      <sheetData sheetId="3" refreshError="1"/>
      <sheetData sheetId="4" refreshError="1"/>
      <sheetData sheetId="5" refreshError="1"/>
      <sheetData sheetId="6" refreshError="1">
        <row r="185">
          <cell r="H185" t="str">
            <v>ЗАО "МАРЭМ+"</v>
          </cell>
        </row>
        <row r="186">
          <cell r="H186" t="str">
            <v>ЗАО "Транссервисэнерго"</v>
          </cell>
        </row>
        <row r="187">
          <cell r="H187" t="str">
            <v>ОАО "Кубаньэнергосбыт"</v>
          </cell>
        </row>
        <row r="188">
          <cell r="H188" t="str">
            <v>ОАО "Мосэнергосбыт"</v>
          </cell>
        </row>
        <row r="189">
          <cell r="H189" t="str">
            <v>ОАО "НЭСК"</v>
          </cell>
        </row>
        <row r="190">
          <cell r="H190" t="str">
            <v>ОАО "Оборонэнергосбыт"</v>
          </cell>
        </row>
        <row r="191">
          <cell r="H191" t="str">
            <v>ОАО «Нижноватомэнергосбыт»</v>
          </cell>
        </row>
        <row r="192">
          <cell r="H192" t="str">
            <v>ОАО ГК «ТНС энерго»</v>
          </cell>
        </row>
        <row r="193">
          <cell r="H193" t="str">
            <v>ООО "Дизаж М"</v>
          </cell>
        </row>
        <row r="194">
          <cell r="H194" t="str">
            <v>ООО "КНАУФ ЭНЕРГИЯ"</v>
          </cell>
        </row>
        <row r="195">
          <cell r="H195" t="str">
            <v>ООО "КубаньРесурс"</v>
          </cell>
        </row>
        <row r="196">
          <cell r="H196" t="str">
            <v>ООО "КЭС"</v>
          </cell>
        </row>
        <row r="197">
          <cell r="H197" t="str">
            <v>ООО "МагнитЭнерго"</v>
          </cell>
        </row>
        <row r="198">
          <cell r="H198" t="str">
            <v>ООО "Межрегиональная энергосбытовая компания" (ООО "Межрегионсбыт")</v>
          </cell>
        </row>
        <row r="199">
          <cell r="H199" t="str">
            <v>ООО "Региональная энергосбытовая компания" (ОПП)</v>
          </cell>
        </row>
        <row r="200">
          <cell r="H200" t="str">
            <v>ООО "РН-Энерго"</v>
          </cell>
        </row>
        <row r="201">
          <cell r="H201" t="str">
            <v>ООО "Русэнергоресурс"</v>
          </cell>
        </row>
        <row r="202">
          <cell r="H202" t="str">
            <v>ООО "РУСЭНЕРГОСБЫТ"</v>
          </cell>
        </row>
        <row r="203">
          <cell r="H203" t="str">
            <v>ООО "ТЕАМ"</v>
          </cell>
        </row>
        <row r="204">
          <cell r="H204" t="str">
            <v>ООО "Транснефтьэнерго"</v>
          </cell>
        </row>
        <row r="205">
          <cell r="H205" t="str">
            <v>ООО "ЭнергоЭффективность"</v>
          </cell>
        </row>
        <row r="206">
          <cell r="H206" t="str">
            <v>ООО "Южная энергосбытовая компания"</v>
          </cell>
        </row>
        <row r="207">
          <cell r="H207" t="str">
            <v>филиал "Южный" ОАО "Оборонэнергосбыт"</v>
          </cell>
        </row>
      </sheetData>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Декабрь</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Ноябрь</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ow r="8">
          <cell r="G8" t="str">
            <v>Октябрь</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ow r="8">
          <cell r="G8" t="str">
            <v>Сентябрь</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efreshError="1">
        <row r="8">
          <cell r="G8" t="str">
            <v>Июль</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Июнь</v>
          </cell>
        </row>
      </sheetData>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sheetData sheetId="1">
        <row r="8">
          <cell r="G8" t="str">
            <v>Май</v>
          </cell>
        </row>
      </sheetData>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ow r="8">
          <cell r="G8" t="str">
            <v>Апрель</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C1:X24"/>
  <sheetViews>
    <sheetView topLeftCell="G8" workbookViewId="0">
      <selection activeCell="Q27" sqref="Q27"/>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IF(_prd2="","Не определено",_prd2)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Январь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9" t="s">
        <v>10</v>
      </c>
      <c r="U15" s="9"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tr">
        <f>IF(_prd2="","Не определено",_prd2)</f>
        <v>Январь</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204.184</v>
      </c>
      <c r="G20" s="21">
        <f t="shared" si="0"/>
        <v>204.184</v>
      </c>
      <c r="H20" s="21">
        <f t="shared" si="0"/>
        <v>0</v>
      </c>
      <c r="I20" s="21">
        <f t="shared" si="0"/>
        <v>31.032</v>
      </c>
      <c r="J20" s="21">
        <f t="shared" si="0"/>
        <v>74.662999999999997</v>
      </c>
      <c r="K20" s="21">
        <f t="shared" si="0"/>
        <v>98.489000000000004</v>
      </c>
      <c r="L20" s="21">
        <f t="shared" si="0"/>
        <v>0</v>
      </c>
      <c r="M20" s="21">
        <f t="shared" si="0"/>
        <v>0</v>
      </c>
      <c r="N20" s="21">
        <f t="shared" si="0"/>
        <v>0</v>
      </c>
      <c r="O20" s="21">
        <f t="shared" si="0"/>
        <v>0</v>
      </c>
      <c r="P20" s="21">
        <f t="shared" si="0"/>
        <v>0</v>
      </c>
      <c r="Q20" s="21">
        <f>IF(G20=0,0,T20/G20)</f>
        <v>3.0626899999999999</v>
      </c>
      <c r="R20" s="21">
        <f>IF(L20=0,0,U20/L20)</f>
        <v>0</v>
      </c>
      <c r="S20" s="21">
        <f>SUM(S21:S23)</f>
        <v>625.35229495999999</v>
      </c>
      <c r="T20" s="21">
        <f>SUM(T21:T23)</f>
        <v>625.35229495999999</v>
      </c>
      <c r="U20" s="21">
        <f>SUM(U21:U23)</f>
        <v>0</v>
      </c>
      <c r="V20" s="21">
        <f>SUM(V21:V23)</f>
        <v>0</v>
      </c>
      <c r="W20" s="22">
        <f>SUM(W21:W23)</f>
        <v>625.35229495999999</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204.184</v>
      </c>
      <c r="G22" s="21">
        <f>H22+I22+J22+K22</f>
        <v>204.184</v>
      </c>
      <c r="H22" s="26">
        <v>0</v>
      </c>
      <c r="I22" s="26">
        <v>31.032</v>
      </c>
      <c r="J22" s="26">
        <v>74.662999999999997</v>
      </c>
      <c r="K22" s="26">
        <v>98.489000000000004</v>
      </c>
      <c r="L22" s="21">
        <f>M22+N22+O22+P22</f>
        <v>0</v>
      </c>
      <c r="M22" s="26">
        <v>0</v>
      </c>
      <c r="N22" s="26">
        <v>0</v>
      </c>
      <c r="O22" s="26">
        <v>0</v>
      </c>
      <c r="P22" s="26">
        <v>0</v>
      </c>
      <c r="Q22" s="26">
        <f>2.5955*1.18</f>
        <v>3.0626899999999999</v>
      </c>
      <c r="R22" s="26">
        <v>0</v>
      </c>
      <c r="S22" s="21">
        <f>T22+U22</f>
        <v>625.35229495999999</v>
      </c>
      <c r="T22" s="26">
        <f>F22*Q22</f>
        <v>625.35229495999999</v>
      </c>
      <c r="U22" s="26">
        <v>0</v>
      </c>
      <c r="V22" s="26">
        <v>0</v>
      </c>
      <c r="W22" s="27">
        <f>S22-V22</f>
        <v>625.35229495999999</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worksheet>
</file>

<file path=xl/worksheets/sheet10.xml><?xml version="1.0" encoding="utf-8"?>
<worksheet xmlns="http://schemas.openxmlformats.org/spreadsheetml/2006/main" xmlns:r="http://schemas.openxmlformats.org/officeDocument/2006/relationships">
  <dimension ref="C1:X24"/>
  <sheetViews>
    <sheetView topLeftCell="G8" workbookViewId="0">
      <selection activeCell="Q22" sqref="Q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IF(__________prd2="","Не определено",__________prd2)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Октябрь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41" t="s">
        <v>10</v>
      </c>
      <c r="U15" s="41"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tr">
        <f>IF(__________prd2="","Не определено",__________prd2)</f>
        <v>Октябрь</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162.005</v>
      </c>
      <c r="G20" s="21">
        <f t="shared" si="0"/>
        <v>162.005</v>
      </c>
      <c r="H20" s="21">
        <f t="shared" si="0"/>
        <v>0</v>
      </c>
      <c r="I20" s="21">
        <f t="shared" si="0"/>
        <v>44.813000000000002</v>
      </c>
      <c r="J20" s="21">
        <f t="shared" si="0"/>
        <v>47.631</v>
      </c>
      <c r="K20" s="21">
        <f t="shared" si="0"/>
        <v>69.561000000000007</v>
      </c>
      <c r="L20" s="21">
        <f t="shared" si="0"/>
        <v>0</v>
      </c>
      <c r="M20" s="21">
        <f t="shared" si="0"/>
        <v>0</v>
      </c>
      <c r="N20" s="21">
        <f t="shared" si="0"/>
        <v>0</v>
      </c>
      <c r="O20" s="21">
        <f t="shared" si="0"/>
        <v>0</v>
      </c>
      <c r="P20" s="21">
        <f t="shared" si="0"/>
        <v>0</v>
      </c>
      <c r="Q20" s="21">
        <f>IF(G20=0,0,T20/G20)</f>
        <v>3.0405295999999997</v>
      </c>
      <c r="R20" s="21">
        <f>IF(L20=0,0,U20/L20)</f>
        <v>0</v>
      </c>
      <c r="S20" s="21">
        <f>SUM(S21:S23)</f>
        <v>492.58099784799992</v>
      </c>
      <c r="T20" s="21">
        <f>SUM(T21:T23)</f>
        <v>492.58099784799992</v>
      </c>
      <c r="U20" s="21">
        <f>SUM(U21:U23)</f>
        <v>0</v>
      </c>
      <c r="V20" s="21">
        <f>SUM(V21:V23)</f>
        <v>0</v>
      </c>
      <c r="W20" s="22">
        <f>SUM(W21:W23)</f>
        <v>492.58099784799992</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162.005</v>
      </c>
      <c r="G22" s="21">
        <f>H22+I22+J22+K22</f>
        <v>162.005</v>
      </c>
      <c r="H22" s="26">
        <v>0</v>
      </c>
      <c r="I22" s="26">
        <v>44.813000000000002</v>
      </c>
      <c r="J22" s="26">
        <v>47.631</v>
      </c>
      <c r="K22" s="26">
        <v>69.561000000000007</v>
      </c>
      <c r="L22" s="21">
        <f>M22+N22+O22+P22</f>
        <v>0</v>
      </c>
      <c r="M22" s="26">
        <v>0</v>
      </c>
      <c r="N22" s="26">
        <v>0</v>
      </c>
      <c r="O22" s="26">
        <v>0</v>
      </c>
      <c r="P22" s="26">
        <v>0</v>
      </c>
      <c r="Q22" s="26">
        <f>2.57672*1.18</f>
        <v>3.0405295999999997</v>
      </c>
      <c r="R22" s="26">
        <v>0</v>
      </c>
      <c r="S22" s="21">
        <f>T22+U22</f>
        <v>492.58099784799992</v>
      </c>
      <c r="T22" s="26">
        <f>F22*Q22</f>
        <v>492.58099784799992</v>
      </c>
      <c r="U22" s="26">
        <v>0</v>
      </c>
      <c r="V22" s="26">
        <v>0</v>
      </c>
      <c r="W22" s="27">
        <f>S22-V22</f>
        <v>492.58099784799992</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C1:X24"/>
  <sheetViews>
    <sheetView topLeftCell="C8" workbookViewId="0">
      <selection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IF(___________prd2="","Не определено",___________prd2)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Ноябрь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41" t="s">
        <v>10</v>
      </c>
      <c r="U15" s="41"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tr">
        <f>IF(___________prd2="","Не определено",___________prd2)</f>
        <v>Ноябрь</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323.89</v>
      </c>
      <c r="G20" s="21">
        <f t="shared" si="0"/>
        <v>323.89</v>
      </c>
      <c r="H20" s="21">
        <f t="shared" si="0"/>
        <v>0</v>
      </c>
      <c r="I20" s="21">
        <f t="shared" si="0"/>
        <v>279.66000000000003</v>
      </c>
      <c r="J20" s="21">
        <f t="shared" si="0"/>
        <v>3.282</v>
      </c>
      <c r="K20" s="21">
        <f t="shared" si="0"/>
        <v>40.948</v>
      </c>
      <c r="L20" s="21">
        <f t="shared" si="0"/>
        <v>0</v>
      </c>
      <c r="M20" s="21">
        <f t="shared" si="0"/>
        <v>0</v>
      </c>
      <c r="N20" s="21">
        <f t="shared" si="0"/>
        <v>0</v>
      </c>
      <c r="O20" s="21">
        <f t="shared" si="0"/>
        <v>0</v>
      </c>
      <c r="P20" s="21">
        <f t="shared" si="0"/>
        <v>0</v>
      </c>
      <c r="Q20" s="21">
        <f>IF(G20=0,0,T20/G20)</f>
        <v>3.1166041999999998</v>
      </c>
      <c r="R20" s="21">
        <f>IF(L20=0,0,U20/L20)</f>
        <v>0</v>
      </c>
      <c r="S20" s="21">
        <f>SUM(S21:S23)</f>
        <v>1009.4369343379999</v>
      </c>
      <c r="T20" s="21">
        <f>SUM(T21:T23)</f>
        <v>1009.4369343379999</v>
      </c>
      <c r="U20" s="21">
        <f>SUM(U21:U23)</f>
        <v>0</v>
      </c>
      <c r="V20" s="21">
        <f>SUM(V21:V23)</f>
        <v>0</v>
      </c>
      <c r="W20" s="22">
        <f>SUM(W21:W23)</f>
        <v>1009.4369343379999</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323.89</v>
      </c>
      <c r="G22" s="21">
        <f>H22+I22+J22+K22</f>
        <v>323.89</v>
      </c>
      <c r="H22" s="26">
        <v>0</v>
      </c>
      <c r="I22" s="26">
        <v>279.66000000000003</v>
      </c>
      <c r="J22" s="26">
        <v>3.282</v>
      </c>
      <c r="K22" s="26">
        <v>40.948</v>
      </c>
      <c r="L22" s="21">
        <f>M22+N22+O22+P22</f>
        <v>0</v>
      </c>
      <c r="M22" s="26">
        <v>0</v>
      </c>
      <c r="N22" s="26">
        <v>0</v>
      </c>
      <c r="O22" s="26">
        <v>0</v>
      </c>
      <c r="P22" s="26">
        <v>0</v>
      </c>
      <c r="Q22" s="26">
        <f>2.64119*1.18</f>
        <v>3.1166041999999998</v>
      </c>
      <c r="R22" s="26">
        <v>0</v>
      </c>
      <c r="S22" s="21">
        <f>T22+U22</f>
        <v>1009.4369343379999</v>
      </c>
      <c r="T22" s="26">
        <f>F22*Q22</f>
        <v>1009.4369343379999</v>
      </c>
      <c r="U22" s="26">
        <v>0</v>
      </c>
      <c r="V22" s="26">
        <v>0</v>
      </c>
      <c r="W22" s="27">
        <f>S22-V22</f>
        <v>1009.4369343379999</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C1:X24"/>
  <sheetViews>
    <sheetView topLeftCell="C8" workbookViewId="0">
      <selection activeCell="K34" sqref="K34"/>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IF(____________prd2="","Не определено",____________prd2)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Декабрь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41" t="s">
        <v>10</v>
      </c>
      <c r="U15" s="41"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tr">
        <f>IF(____________prd2="","Не определено",____________prd2)</f>
        <v>Декабрь</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288.15600000000001</v>
      </c>
      <c r="G20" s="21">
        <f t="shared" si="0"/>
        <v>288.15600000000001</v>
      </c>
      <c r="H20" s="21">
        <f t="shared" si="0"/>
        <v>0</v>
      </c>
      <c r="I20" s="21">
        <f t="shared" si="0"/>
        <v>69.256</v>
      </c>
      <c r="J20" s="21">
        <f t="shared" si="0"/>
        <v>198.09200000000001</v>
      </c>
      <c r="K20" s="21">
        <f t="shared" si="0"/>
        <v>20.808</v>
      </c>
      <c r="L20" s="21">
        <f t="shared" si="0"/>
        <v>0</v>
      </c>
      <c r="M20" s="21">
        <f t="shared" si="0"/>
        <v>0</v>
      </c>
      <c r="N20" s="21">
        <f t="shared" si="0"/>
        <v>0</v>
      </c>
      <c r="O20" s="21">
        <f t="shared" si="0"/>
        <v>0</v>
      </c>
      <c r="P20" s="21">
        <f t="shared" si="0"/>
        <v>0</v>
      </c>
      <c r="Q20" s="21">
        <f>IF(G20=0,0,T20/G20)</f>
        <v>3.12</v>
      </c>
      <c r="R20" s="21">
        <f>IF(L20=0,0,U20/L20)</f>
        <v>0</v>
      </c>
      <c r="S20" s="21">
        <f>SUM(S21:S23)</f>
        <v>899.04672000000005</v>
      </c>
      <c r="T20" s="21">
        <f>SUM(T21:T23)</f>
        <v>899.04672000000005</v>
      </c>
      <c r="U20" s="21">
        <f>SUM(U21:U23)</f>
        <v>0</v>
      </c>
      <c r="V20" s="21">
        <f>SUM(V21:V23)</f>
        <v>0</v>
      </c>
      <c r="W20" s="22">
        <f>SUM(W21:W23)</f>
        <v>899.04672000000005</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288.15600000000001</v>
      </c>
      <c r="G22" s="21">
        <f>H22+I22+J22+K22</f>
        <v>288.15600000000001</v>
      </c>
      <c r="H22" s="26">
        <v>0</v>
      </c>
      <c r="I22" s="26">
        <v>69.256</v>
      </c>
      <c r="J22" s="26">
        <v>198.09200000000001</v>
      </c>
      <c r="K22" s="26">
        <v>20.808</v>
      </c>
      <c r="L22" s="21">
        <f>M22+N22+O22+P22</f>
        <v>0</v>
      </c>
      <c r="M22" s="26">
        <v>0</v>
      </c>
      <c r="N22" s="26">
        <v>0</v>
      </c>
      <c r="O22" s="26">
        <v>0</v>
      </c>
      <c r="P22" s="26">
        <v>0</v>
      </c>
      <c r="Q22" s="26">
        <v>3.12</v>
      </c>
      <c r="R22" s="26">
        <v>0</v>
      </c>
      <c r="S22" s="21">
        <f>T22+U22</f>
        <v>899.04672000000005</v>
      </c>
      <c r="T22" s="26">
        <f>F22*Q22</f>
        <v>899.04672000000005</v>
      </c>
      <c r="U22" s="26">
        <v>0</v>
      </c>
      <c r="V22" s="26">
        <v>0</v>
      </c>
      <c r="W22" s="27">
        <f>S22-V22</f>
        <v>899.04672000000005</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C1:X24"/>
  <sheetViews>
    <sheetView tabSelected="1" topLeftCell="I8" workbookViewId="0">
      <selection activeCell="S22" sqref="S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IF(_____________prd2="","Не определено",_____________prd2)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Год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41" t="s">
        <v>10</v>
      </c>
      <c r="U15" s="41"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tr">
        <f>IF(_____________prd2="","Не определено",_____________prd2)</f>
        <v>Год</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2884.6319999999996</v>
      </c>
      <c r="G20" s="21">
        <f t="shared" si="0"/>
        <v>2884.6319999999996</v>
      </c>
      <c r="H20" s="21">
        <f t="shared" si="0"/>
        <v>0</v>
      </c>
      <c r="I20" s="21">
        <f t="shared" si="0"/>
        <v>718.10900000000004</v>
      </c>
      <c r="J20" s="21">
        <f t="shared" si="0"/>
        <v>1016.855</v>
      </c>
      <c r="K20" s="21">
        <f t="shared" si="0"/>
        <v>1149.6679999999999</v>
      </c>
      <c r="L20" s="21">
        <f t="shared" si="0"/>
        <v>0</v>
      </c>
      <c r="M20" s="21">
        <f t="shared" si="0"/>
        <v>0</v>
      </c>
      <c r="N20" s="21">
        <f t="shared" si="0"/>
        <v>0</v>
      </c>
      <c r="O20" s="21">
        <f t="shared" si="0"/>
        <v>0</v>
      </c>
      <c r="P20" s="21">
        <f t="shared" si="0"/>
        <v>0</v>
      </c>
      <c r="Q20" s="21">
        <f>IF(G20=0,0,T20/G20)</f>
        <v>2.9704405499999997</v>
      </c>
      <c r="R20" s="21">
        <f>IF(L20=0,0,U20/L20)</f>
        <v>0</v>
      </c>
      <c r="S20" s="21">
        <f>SUM(S21:S23)</f>
        <v>8568.6278646275987</v>
      </c>
      <c r="T20" s="21">
        <f>SUM(T21:T23)</f>
        <v>8568.6278646275987</v>
      </c>
      <c r="U20" s="21">
        <f>SUM(U21:U23)</f>
        <v>0</v>
      </c>
      <c r="V20" s="21">
        <f>SUM(V21:V23)</f>
        <v>0</v>
      </c>
      <c r="W20" s="22">
        <f>SUM(W21:W23)</f>
        <v>8568.6278646275987</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2884.6319999999996</v>
      </c>
      <c r="G22" s="21">
        <f>H22+I22+J22+K22</f>
        <v>2884.6319999999996</v>
      </c>
      <c r="H22" s="26">
        <v>0</v>
      </c>
      <c r="I22" s="26">
        <v>718.10900000000004</v>
      </c>
      <c r="J22" s="26">
        <v>1016.855</v>
      </c>
      <c r="K22" s="26">
        <v>1149.6679999999999</v>
      </c>
      <c r="L22" s="21">
        <f>M22+N22+O22+P22</f>
        <v>0</v>
      </c>
      <c r="M22" s="26">
        <v>0</v>
      </c>
      <c r="N22" s="26">
        <v>0</v>
      </c>
      <c r="O22" s="26">
        <v>0</v>
      </c>
      <c r="P22" s="26">
        <v>0</v>
      </c>
      <c r="Q22" s="26">
        <f>2.5173225*1.18</f>
        <v>2.9704405500000002</v>
      </c>
      <c r="R22" s="26">
        <v>0</v>
      </c>
      <c r="S22" s="21">
        <f>T22+U22</f>
        <v>8568.6278646275987</v>
      </c>
      <c r="T22" s="26">
        <f>F22*Q22</f>
        <v>8568.6278646275987</v>
      </c>
      <c r="U22" s="26">
        <v>0</v>
      </c>
      <c r="V22" s="26">
        <v>0</v>
      </c>
      <c r="W22" s="27">
        <f>S22-V22</f>
        <v>8568.6278646275987</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C1:X24"/>
  <sheetViews>
    <sheetView topLeftCell="H8" workbookViewId="0">
      <selection activeCell="Q22" sqref="Q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IF(__prd2="","Не определено",__prd2)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Февраль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9" t="s">
        <v>10</v>
      </c>
      <c r="U15" s="9"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tr">
        <f>IF(__prd2="","Не определено",__prd2)</f>
        <v>Февраль</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238.93099999999998</v>
      </c>
      <c r="G20" s="21">
        <f t="shared" si="0"/>
        <v>238.93099999999998</v>
      </c>
      <c r="H20" s="21">
        <f t="shared" si="0"/>
        <v>0</v>
      </c>
      <c r="I20" s="21">
        <f t="shared" si="0"/>
        <v>50.698</v>
      </c>
      <c r="J20" s="21">
        <f t="shared" si="0"/>
        <v>62.164000000000001</v>
      </c>
      <c r="K20" s="21">
        <f t="shared" si="0"/>
        <v>126.069</v>
      </c>
      <c r="L20" s="21">
        <f t="shared" si="0"/>
        <v>0</v>
      </c>
      <c r="M20" s="21">
        <f t="shared" si="0"/>
        <v>0</v>
      </c>
      <c r="N20" s="21">
        <f t="shared" si="0"/>
        <v>0</v>
      </c>
      <c r="O20" s="21">
        <f t="shared" si="0"/>
        <v>0</v>
      </c>
      <c r="P20" s="21">
        <f t="shared" si="0"/>
        <v>0</v>
      </c>
      <c r="Q20" s="21">
        <f>IF(G20=0,0,T20/G20)</f>
        <v>3.120333</v>
      </c>
      <c r="R20" s="21">
        <f>IF(L20=0,0,U20/L20)</f>
        <v>0</v>
      </c>
      <c r="S20" s="21">
        <f>SUM(S21:S23)</f>
        <v>745.54428402299993</v>
      </c>
      <c r="T20" s="21">
        <f>SUM(T21:T23)</f>
        <v>745.54428402299993</v>
      </c>
      <c r="U20" s="21">
        <f>SUM(U21:U23)</f>
        <v>0</v>
      </c>
      <c r="V20" s="21">
        <f>SUM(V21:V23)</f>
        <v>0</v>
      </c>
      <c r="W20" s="22">
        <f>SUM(W21:W23)</f>
        <v>745.54428402299993</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238.93099999999998</v>
      </c>
      <c r="G22" s="21">
        <f>H22+I22+J22+K22</f>
        <v>238.93099999999998</v>
      </c>
      <c r="H22" s="26">
        <v>0</v>
      </c>
      <c r="I22" s="26">
        <v>50.698</v>
      </c>
      <c r="J22" s="26">
        <v>62.164000000000001</v>
      </c>
      <c r="K22" s="26">
        <v>126.069</v>
      </c>
      <c r="L22" s="21">
        <f>M22+N22+O22+P22</f>
        <v>0</v>
      </c>
      <c r="M22" s="26">
        <v>0</v>
      </c>
      <c r="N22" s="26">
        <v>0</v>
      </c>
      <c r="O22" s="26">
        <v>0</v>
      </c>
      <c r="P22" s="26">
        <v>0</v>
      </c>
      <c r="Q22" s="26">
        <f>2.64435*1.18</f>
        <v>3.120333</v>
      </c>
      <c r="R22" s="26">
        <v>0</v>
      </c>
      <c r="S22" s="21">
        <f>T22+U22</f>
        <v>745.54428402299993</v>
      </c>
      <c r="T22" s="26">
        <f>F22*Q22</f>
        <v>745.54428402299993</v>
      </c>
      <c r="U22" s="26">
        <v>0</v>
      </c>
      <c r="V22" s="26">
        <v>0</v>
      </c>
      <c r="W22" s="27">
        <f>S22-V22</f>
        <v>745.54428402299993</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C1:X24"/>
  <sheetViews>
    <sheetView topLeftCell="P8" workbookViewId="0">
      <selection activeCell="Q22" sqref="Q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IF(___prd2="","Не определено",___prd2)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Март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9" t="s">
        <v>10</v>
      </c>
      <c r="U15" s="9"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tr">
        <f>IF(___prd2="","Не определено",___prd2)</f>
        <v>Март</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255.59100000000001</v>
      </c>
      <c r="G20" s="21">
        <f t="shared" si="0"/>
        <v>255.59100000000001</v>
      </c>
      <c r="H20" s="21">
        <f t="shared" si="0"/>
        <v>0</v>
      </c>
      <c r="I20" s="21">
        <f t="shared" si="0"/>
        <v>47.212000000000003</v>
      </c>
      <c r="J20" s="21">
        <f t="shared" si="0"/>
        <v>65.596999999999994</v>
      </c>
      <c r="K20" s="21">
        <f t="shared" si="0"/>
        <v>142.78200000000001</v>
      </c>
      <c r="L20" s="21">
        <f t="shared" si="0"/>
        <v>0</v>
      </c>
      <c r="M20" s="21">
        <f t="shared" si="0"/>
        <v>0</v>
      </c>
      <c r="N20" s="21">
        <f t="shared" si="0"/>
        <v>0</v>
      </c>
      <c r="O20" s="21">
        <f t="shared" si="0"/>
        <v>0</v>
      </c>
      <c r="P20" s="21">
        <f t="shared" si="0"/>
        <v>0</v>
      </c>
      <c r="Q20" s="21">
        <f>IF(G20=0,0,T20/G20)</f>
        <v>3.1187282000000001</v>
      </c>
      <c r="R20" s="21">
        <f>IF(L20=0,0,U20/L20)</f>
        <v>0</v>
      </c>
      <c r="S20" s="21">
        <f>SUM(S21:S23)</f>
        <v>797.11885936620001</v>
      </c>
      <c r="T20" s="21">
        <f>SUM(T21:T23)</f>
        <v>797.11885936620001</v>
      </c>
      <c r="U20" s="21">
        <f>SUM(U21:U23)</f>
        <v>0</v>
      </c>
      <c r="V20" s="21">
        <f>SUM(V21:V23)</f>
        <v>0</v>
      </c>
      <c r="W20" s="22">
        <f>SUM(W21:W23)</f>
        <v>797.11885936620001</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255.59100000000001</v>
      </c>
      <c r="G22" s="21">
        <f>H22+I22+J22+K22</f>
        <v>255.59100000000001</v>
      </c>
      <c r="H22" s="26">
        <v>0</v>
      </c>
      <c r="I22" s="26">
        <v>47.212000000000003</v>
      </c>
      <c r="J22" s="26">
        <v>65.596999999999994</v>
      </c>
      <c r="K22" s="26">
        <v>142.78200000000001</v>
      </c>
      <c r="L22" s="21">
        <f>M22+N22+O22+P22</f>
        <v>0</v>
      </c>
      <c r="M22" s="26">
        <v>0</v>
      </c>
      <c r="N22" s="26">
        <v>0</v>
      </c>
      <c r="O22" s="26">
        <v>0</v>
      </c>
      <c r="P22" s="26">
        <v>0</v>
      </c>
      <c r="Q22" s="26">
        <f>2.64299*1.18</f>
        <v>3.1187282000000001</v>
      </c>
      <c r="R22" s="26">
        <v>0</v>
      </c>
      <c r="S22" s="21">
        <f>T22+U22</f>
        <v>797.11885936620001</v>
      </c>
      <c r="T22" s="26">
        <f>F22*Q22</f>
        <v>797.11885936620001</v>
      </c>
      <c r="U22" s="26">
        <v>0</v>
      </c>
      <c r="V22" s="26">
        <v>0</v>
      </c>
      <c r="W22" s="27">
        <f>S22-V22</f>
        <v>797.11885936620001</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C1:X24"/>
  <sheetViews>
    <sheetView topLeftCell="H8" workbookViewId="0">
      <selection activeCell="Q22" sqref="Q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IF(____prd2="","Не определено",____prd2)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Апрель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9" t="s">
        <v>10</v>
      </c>
      <c r="U15" s="9"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tr">
        <f>IF(____prd2="","Не определено",____prd2)</f>
        <v>Апрель</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267.74099999999999</v>
      </c>
      <c r="G20" s="21">
        <f t="shared" si="0"/>
        <v>267.74099999999999</v>
      </c>
      <c r="H20" s="21">
        <f t="shared" si="0"/>
        <v>0</v>
      </c>
      <c r="I20" s="21">
        <f t="shared" si="0"/>
        <v>48.77</v>
      </c>
      <c r="J20" s="21">
        <f t="shared" si="0"/>
        <v>148.61099999999999</v>
      </c>
      <c r="K20" s="21">
        <f t="shared" si="0"/>
        <v>70.36</v>
      </c>
      <c r="L20" s="21">
        <f t="shared" si="0"/>
        <v>0</v>
      </c>
      <c r="M20" s="21">
        <f t="shared" si="0"/>
        <v>0</v>
      </c>
      <c r="N20" s="21">
        <f t="shared" si="0"/>
        <v>0</v>
      </c>
      <c r="O20" s="21">
        <f t="shared" si="0"/>
        <v>0</v>
      </c>
      <c r="P20" s="21">
        <f t="shared" si="0"/>
        <v>0</v>
      </c>
      <c r="Q20" s="21">
        <f>IF(G20=0,0,T20/G20)</f>
        <v>2.7434409999999998</v>
      </c>
      <c r="R20" s="21">
        <f>IF(L20=0,0,U20/L20)</f>
        <v>0</v>
      </c>
      <c r="S20" s="21">
        <f>SUM(S21:S23)</f>
        <v>734.53163678099986</v>
      </c>
      <c r="T20" s="21">
        <f>SUM(T21:T23)</f>
        <v>734.53163678099986</v>
      </c>
      <c r="U20" s="21">
        <f>SUM(U21:U23)</f>
        <v>0</v>
      </c>
      <c r="V20" s="21">
        <f>SUM(V21:V23)</f>
        <v>0</v>
      </c>
      <c r="W20" s="22">
        <f>SUM(W21:W23)</f>
        <v>734.53163678099986</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267.74099999999999</v>
      </c>
      <c r="G22" s="21">
        <f>H22+I22+J22+K22</f>
        <v>267.74099999999999</v>
      </c>
      <c r="H22" s="26">
        <v>0</v>
      </c>
      <c r="I22" s="26">
        <v>48.77</v>
      </c>
      <c r="J22" s="26">
        <v>148.61099999999999</v>
      </c>
      <c r="K22" s="26">
        <v>70.36</v>
      </c>
      <c r="L22" s="21">
        <f>M22+N22+O22+P22</f>
        <v>0</v>
      </c>
      <c r="M22" s="26">
        <v>0</v>
      </c>
      <c r="N22" s="26">
        <v>0</v>
      </c>
      <c r="O22" s="26">
        <v>0</v>
      </c>
      <c r="P22" s="26">
        <v>0</v>
      </c>
      <c r="Q22" s="26">
        <f>2.32495*1.18</f>
        <v>2.7434409999999998</v>
      </c>
      <c r="R22" s="26">
        <v>0</v>
      </c>
      <c r="S22" s="21">
        <f>T22+U22</f>
        <v>734.53163678099986</v>
      </c>
      <c r="T22" s="26">
        <f>F22*Q22</f>
        <v>734.53163678099986</v>
      </c>
      <c r="U22" s="26">
        <v>0</v>
      </c>
      <c r="V22" s="26">
        <v>0</v>
      </c>
      <c r="W22" s="27">
        <f>S22-V22</f>
        <v>734.53163678099986</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C1:X24"/>
  <sheetViews>
    <sheetView topLeftCell="H8" workbookViewId="0">
      <selection activeCell="Q22" sqref="Q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IF(_____prd2="","Не определено",_____prd2)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Май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9" t="s">
        <v>10</v>
      </c>
      <c r="U15" s="9"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tr">
        <f>IF(_____prd2="","Не определено",_____prd2)</f>
        <v>Май</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268.93</v>
      </c>
      <c r="G20" s="21">
        <f t="shared" si="0"/>
        <v>268.93</v>
      </c>
      <c r="H20" s="21">
        <f t="shared" si="0"/>
        <v>0</v>
      </c>
      <c r="I20" s="21">
        <f t="shared" si="0"/>
        <v>35.154000000000003</v>
      </c>
      <c r="J20" s="21">
        <f t="shared" si="0"/>
        <v>55.183</v>
      </c>
      <c r="K20" s="21">
        <f t="shared" si="0"/>
        <v>178.59299999999999</v>
      </c>
      <c r="L20" s="21">
        <f t="shared" si="0"/>
        <v>0</v>
      </c>
      <c r="M20" s="21">
        <f t="shared" si="0"/>
        <v>0</v>
      </c>
      <c r="N20" s="21">
        <f t="shared" si="0"/>
        <v>0</v>
      </c>
      <c r="O20" s="21">
        <f t="shared" si="0"/>
        <v>0</v>
      </c>
      <c r="P20" s="21">
        <f t="shared" si="0"/>
        <v>0</v>
      </c>
      <c r="Q20" s="21">
        <f>IF(G20=0,0,T20/G20)</f>
        <v>2.8992363999999999</v>
      </c>
      <c r="R20" s="21">
        <f>IF(L20=0,0,U20/L20)</f>
        <v>0</v>
      </c>
      <c r="S20" s="21">
        <f>SUM(S21:S23)</f>
        <v>779.69164505200001</v>
      </c>
      <c r="T20" s="21">
        <f>SUM(T21:T23)</f>
        <v>779.69164505200001</v>
      </c>
      <c r="U20" s="21">
        <f>SUM(U21:U23)</f>
        <v>0</v>
      </c>
      <c r="V20" s="21">
        <f>SUM(V21:V23)</f>
        <v>0</v>
      </c>
      <c r="W20" s="22">
        <f>SUM(W21:W23)</f>
        <v>779.69164505200001</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268.93</v>
      </c>
      <c r="G22" s="21">
        <f>H22+I22+J22+K22</f>
        <v>268.93</v>
      </c>
      <c r="H22" s="26">
        <v>0</v>
      </c>
      <c r="I22" s="26">
        <v>35.154000000000003</v>
      </c>
      <c r="J22" s="26">
        <v>55.183</v>
      </c>
      <c r="K22" s="26">
        <v>178.59299999999999</v>
      </c>
      <c r="L22" s="21">
        <f>M22+N22+O22+P22</f>
        <v>0</v>
      </c>
      <c r="M22" s="26">
        <v>0</v>
      </c>
      <c r="N22" s="26">
        <v>0</v>
      </c>
      <c r="O22" s="26">
        <v>0</v>
      </c>
      <c r="P22" s="26">
        <v>0</v>
      </c>
      <c r="Q22" s="26">
        <f>2.45698*1.18</f>
        <v>2.8992363999999999</v>
      </c>
      <c r="R22" s="26">
        <v>0</v>
      </c>
      <c r="S22" s="21">
        <f>T22+U22</f>
        <v>779.69164505200001</v>
      </c>
      <c r="T22" s="26">
        <f>F22*Q22</f>
        <v>779.69164505200001</v>
      </c>
      <c r="U22" s="26">
        <v>0</v>
      </c>
      <c r="V22" s="26">
        <v>0</v>
      </c>
      <c r="W22" s="27">
        <f>S22-V22</f>
        <v>779.69164505200001</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C1:X24"/>
  <sheetViews>
    <sheetView topLeftCell="H8" workbookViewId="0">
      <selection activeCell="Q22" sqref="Q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IF(______prd2="","Не определено",______prd2)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Июнь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36" t="s">
        <v>10</v>
      </c>
      <c r="U15" s="36"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tr">
        <f>IF(______prd2="","Не определено",______prd2)</f>
        <v>Июнь</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368.92600000000004</v>
      </c>
      <c r="G20" s="21">
        <f t="shared" si="0"/>
        <v>368.92600000000004</v>
      </c>
      <c r="H20" s="21">
        <f t="shared" si="0"/>
        <v>0</v>
      </c>
      <c r="I20" s="21">
        <f t="shared" si="0"/>
        <v>36.793999999999997</v>
      </c>
      <c r="J20" s="21">
        <f t="shared" si="0"/>
        <v>101.42400000000001</v>
      </c>
      <c r="K20" s="21">
        <f t="shared" si="0"/>
        <v>230.708</v>
      </c>
      <c r="L20" s="21">
        <f t="shared" si="0"/>
        <v>0</v>
      </c>
      <c r="M20" s="21">
        <f t="shared" si="0"/>
        <v>0</v>
      </c>
      <c r="N20" s="21">
        <f t="shared" si="0"/>
        <v>0</v>
      </c>
      <c r="O20" s="21">
        <f t="shared" si="0"/>
        <v>0</v>
      </c>
      <c r="P20" s="21">
        <f t="shared" si="0"/>
        <v>0</v>
      </c>
      <c r="Q20" s="21">
        <f>IF(G20=0,0,T20/G20)</f>
        <v>2.7773188000000002</v>
      </c>
      <c r="R20" s="21">
        <f>IF(L20=0,0,U20/L20)</f>
        <v>0</v>
      </c>
      <c r="S20" s="21">
        <f>SUM(S21:S23)</f>
        <v>1024.6251156088001</v>
      </c>
      <c r="T20" s="21">
        <f>SUM(T21:T23)</f>
        <v>1024.6251156088001</v>
      </c>
      <c r="U20" s="21">
        <f>SUM(U21:U23)</f>
        <v>0</v>
      </c>
      <c r="V20" s="21">
        <f>SUM(V21:V23)</f>
        <v>0</v>
      </c>
      <c r="W20" s="22">
        <f>SUM(W21:W23)</f>
        <v>1024.6251156088001</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368.92600000000004</v>
      </c>
      <c r="G22" s="21">
        <f>H22+I22+J22+K22</f>
        <v>368.92600000000004</v>
      </c>
      <c r="H22" s="26">
        <v>0</v>
      </c>
      <c r="I22" s="26">
        <v>36.793999999999997</v>
      </c>
      <c r="J22" s="26">
        <v>101.42400000000001</v>
      </c>
      <c r="K22" s="26">
        <v>230.708</v>
      </c>
      <c r="L22" s="21">
        <f>M22+N22+O22+P22</f>
        <v>0</v>
      </c>
      <c r="M22" s="26">
        <v>0</v>
      </c>
      <c r="N22" s="26">
        <v>0</v>
      </c>
      <c r="O22" s="26">
        <v>0</v>
      </c>
      <c r="P22" s="26">
        <v>0</v>
      </c>
      <c r="Q22" s="26">
        <f>2.35366*1.18</f>
        <v>2.7773187999999998</v>
      </c>
      <c r="R22" s="26">
        <v>0</v>
      </c>
      <c r="S22" s="21">
        <f>T22+U22</f>
        <v>1024.6251156088001</v>
      </c>
      <c r="T22" s="26">
        <f>F22*Q22</f>
        <v>1024.6251156088001</v>
      </c>
      <c r="U22" s="26">
        <v>0</v>
      </c>
      <c r="V22" s="26">
        <v>0</v>
      </c>
      <c r="W22" s="27">
        <f>S22-V22</f>
        <v>1024.6251156088001</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C1:X24"/>
  <sheetViews>
    <sheetView topLeftCell="L8" workbookViewId="0">
      <selection activeCell="Q22" sqref="Q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IF(_______prd2="","Не определено",_______prd2)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Июль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37" t="s">
        <v>10</v>
      </c>
      <c r="U15" s="37"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tr">
        <f>IF(_______prd2="","Не определено",_______prd2)</f>
        <v>Июль</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251.023</v>
      </c>
      <c r="G20" s="21">
        <f t="shared" si="0"/>
        <v>251.023</v>
      </c>
      <c r="H20" s="21">
        <f t="shared" si="0"/>
        <v>0</v>
      </c>
      <c r="I20" s="21">
        <f t="shared" si="0"/>
        <v>45.715000000000003</v>
      </c>
      <c r="J20" s="21">
        <f t="shared" si="0"/>
        <v>147.46299999999999</v>
      </c>
      <c r="K20" s="21">
        <f t="shared" si="0"/>
        <v>57.844999999999999</v>
      </c>
      <c r="L20" s="21">
        <f t="shared" si="0"/>
        <v>0</v>
      </c>
      <c r="M20" s="21">
        <f t="shared" si="0"/>
        <v>0</v>
      </c>
      <c r="N20" s="21">
        <f t="shared" si="0"/>
        <v>0</v>
      </c>
      <c r="O20" s="21">
        <f t="shared" si="0"/>
        <v>0</v>
      </c>
      <c r="P20" s="21">
        <f t="shared" si="0"/>
        <v>0</v>
      </c>
      <c r="Q20" s="21">
        <f>IF(G20=0,0,T20/G20)</f>
        <v>2.7757022</v>
      </c>
      <c r="R20" s="21">
        <f>IF(L20=0,0,U20/L20)</f>
        <v>0</v>
      </c>
      <c r="S20" s="21">
        <f>SUM(S21:S23)</f>
        <v>696.76509335059995</v>
      </c>
      <c r="T20" s="21">
        <f>SUM(T21:T23)</f>
        <v>696.76509335059995</v>
      </c>
      <c r="U20" s="21">
        <f>SUM(U21:U23)</f>
        <v>0</v>
      </c>
      <c r="V20" s="21">
        <f>SUM(V21:V23)</f>
        <v>0</v>
      </c>
      <c r="W20" s="22">
        <f>SUM(W21:W23)</f>
        <v>696.76509335059995</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251.023</v>
      </c>
      <c r="G22" s="21">
        <f>H22+I22+J22+K22</f>
        <v>251.023</v>
      </c>
      <c r="H22" s="26">
        <v>0</v>
      </c>
      <c r="I22" s="26">
        <v>45.715000000000003</v>
      </c>
      <c r="J22" s="26">
        <v>147.46299999999999</v>
      </c>
      <c r="K22" s="26">
        <v>57.844999999999999</v>
      </c>
      <c r="L22" s="21">
        <f>M22+N22+O22+P22</f>
        <v>0</v>
      </c>
      <c r="M22" s="26">
        <v>0</v>
      </c>
      <c r="N22" s="26">
        <v>0</v>
      </c>
      <c r="O22" s="26">
        <v>0</v>
      </c>
      <c r="P22" s="26">
        <v>0</v>
      </c>
      <c r="Q22" s="26">
        <f>2.35229*1.18</f>
        <v>2.7757022</v>
      </c>
      <c r="R22" s="26">
        <v>0</v>
      </c>
      <c r="S22" s="21">
        <f>T22+U22</f>
        <v>696.76509335059995</v>
      </c>
      <c r="T22" s="26">
        <f>F22*Q22</f>
        <v>696.76509335059995</v>
      </c>
      <c r="U22" s="26">
        <v>0</v>
      </c>
      <c r="V22" s="26">
        <v>0</v>
      </c>
      <c r="W22" s="27">
        <f>S22-V22</f>
        <v>696.76509335059995</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C1:X40"/>
  <sheetViews>
    <sheetView topLeftCell="D8" workbookViewId="0">
      <selection activeCell="Q32" sqref="Q3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август 2016 года"</f>
        <v>Фактический объём покупки электроэнергии сетевыми организациями на компенсацию потерь в части передачи сторонним потребителям за август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38" t="s">
        <v>10</v>
      </c>
      <c r="U15" s="38"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
        <v>21</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176.17200000000003</v>
      </c>
      <c r="G20" s="21">
        <f t="shared" si="0"/>
        <v>176.17200000000003</v>
      </c>
      <c r="H20" s="21">
        <f t="shared" si="0"/>
        <v>0</v>
      </c>
      <c r="I20" s="21">
        <f t="shared" si="0"/>
        <v>10.679</v>
      </c>
      <c r="J20" s="21">
        <f t="shared" si="0"/>
        <v>91.84</v>
      </c>
      <c r="K20" s="21">
        <f t="shared" si="0"/>
        <v>73.653000000000006</v>
      </c>
      <c r="L20" s="21">
        <f t="shared" si="0"/>
        <v>0</v>
      </c>
      <c r="M20" s="21">
        <f t="shared" si="0"/>
        <v>0</v>
      </c>
      <c r="N20" s="21">
        <f t="shared" si="0"/>
        <v>0</v>
      </c>
      <c r="O20" s="21">
        <f t="shared" si="0"/>
        <v>0</v>
      </c>
      <c r="P20" s="21">
        <f t="shared" si="0"/>
        <v>0</v>
      </c>
      <c r="Q20" s="21">
        <f>IF(G20=0,0,T20/G20)</f>
        <v>3.119389</v>
      </c>
      <c r="R20" s="21">
        <f>IF(L20=0,0,U20/L20)</f>
        <v>0</v>
      </c>
      <c r="S20" s="21">
        <f>SUM(S21:S23)</f>
        <v>549.54899890800004</v>
      </c>
      <c r="T20" s="21">
        <f>SUM(T21:T23)</f>
        <v>549.54899890800004</v>
      </c>
      <c r="U20" s="21">
        <f>SUM(U21:U23)</f>
        <v>0</v>
      </c>
      <c r="V20" s="21">
        <f>SUM(V21:V23)</f>
        <v>0</v>
      </c>
      <c r="W20" s="22">
        <f>SUM(W21:W23)</f>
        <v>549.54899890800004</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176.17200000000003</v>
      </c>
      <c r="G22" s="21">
        <f>H22+I22+J22+K22</f>
        <v>176.17200000000003</v>
      </c>
      <c r="H22" s="26">
        <v>0</v>
      </c>
      <c r="I22" s="26">
        <v>10.679</v>
      </c>
      <c r="J22" s="26">
        <v>91.84</v>
      </c>
      <c r="K22" s="26">
        <v>73.653000000000006</v>
      </c>
      <c r="L22" s="21">
        <f>M22+N22+O22+P22</f>
        <v>0</v>
      </c>
      <c r="M22" s="26">
        <v>0</v>
      </c>
      <c r="N22" s="26">
        <v>0</v>
      </c>
      <c r="O22" s="26">
        <v>0</v>
      </c>
      <c r="P22" s="26">
        <v>0</v>
      </c>
      <c r="Q22" s="26">
        <f>2.64355*1.18</f>
        <v>3.1193889999999995</v>
      </c>
      <c r="R22" s="26">
        <v>0</v>
      </c>
      <c r="S22" s="21">
        <f>T22+U22</f>
        <v>549.54899890800004</v>
      </c>
      <c r="T22" s="26">
        <f>F22*Q22</f>
        <v>549.54899890800004</v>
      </c>
      <c r="U22" s="26">
        <v>0</v>
      </c>
      <c r="V22" s="26">
        <v>0</v>
      </c>
      <c r="W22" s="27">
        <f>S22-V22</f>
        <v>549.54899890800004</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40" spans="20:20">
      <c r="T40" s="40"/>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C1:X37"/>
  <sheetViews>
    <sheetView topLeftCell="F8" workbookViewId="0">
      <selection activeCell="Q22" sqref="Q22"/>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6" t="str">
        <f>"Фактический объём покупки электроэнергии сетевыми организациями на компенсацию потерь в части передачи сторонним потребителям за " &amp; IF(________prd2="","Не определено",________prd2) &amp; " " &amp; IF(god="","Не определено",god) &amp; " года"</f>
        <v>Фактический объём покупки электроэнергии сетевыми организациями на компенсацию потерь в части передачи сторонним потребителям за Сентябрь 2016 года</v>
      </c>
      <c r="E10" s="47"/>
      <c r="F10" s="47"/>
      <c r="G10" s="47"/>
      <c r="H10" s="47"/>
      <c r="I10" s="47"/>
      <c r="J10" s="47"/>
      <c r="K10" s="47"/>
      <c r="L10" s="47"/>
      <c r="M10" s="47"/>
      <c r="N10" s="47"/>
      <c r="O10" s="47"/>
      <c r="P10" s="47"/>
      <c r="Q10" s="47"/>
      <c r="R10" s="47"/>
      <c r="S10" s="47"/>
      <c r="T10" s="47"/>
      <c r="U10" s="47"/>
      <c r="V10" s="47"/>
      <c r="W10" s="48"/>
      <c r="X10" s="6"/>
    </row>
    <row r="11" spans="3:24" ht="15" customHeight="1" thickBot="1">
      <c r="C11" s="5"/>
      <c r="D11" s="49" t="str">
        <f>"ОРГАНИЗАЦИЯ: " &amp; IF(org="","Не определено",org)</f>
        <v>ОРГАНИЗАЦИЯ: ООО "КВЭП"</v>
      </c>
      <c r="E11" s="50"/>
      <c r="F11" s="50"/>
      <c r="G11" s="50"/>
      <c r="H11" s="50"/>
      <c r="I11" s="50"/>
      <c r="J11" s="50"/>
      <c r="K11" s="50"/>
      <c r="L11" s="50"/>
      <c r="M11" s="50"/>
      <c r="N11" s="50"/>
      <c r="O11" s="50"/>
      <c r="P11" s="50"/>
      <c r="Q11" s="50"/>
      <c r="R11" s="50"/>
      <c r="S11" s="50"/>
      <c r="T11" s="50"/>
      <c r="U11" s="50"/>
      <c r="V11" s="50"/>
      <c r="W11" s="51"/>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52" t="s">
        <v>0</v>
      </c>
      <c r="E13" s="54" t="s">
        <v>1</v>
      </c>
      <c r="F13" s="56" t="s">
        <v>2</v>
      </c>
      <c r="G13" s="56"/>
      <c r="H13" s="56"/>
      <c r="I13" s="56"/>
      <c r="J13" s="56"/>
      <c r="K13" s="56"/>
      <c r="L13" s="56"/>
      <c r="M13" s="56"/>
      <c r="N13" s="56"/>
      <c r="O13" s="56"/>
      <c r="P13" s="56"/>
      <c r="Q13" s="56" t="s">
        <v>3</v>
      </c>
      <c r="R13" s="56"/>
      <c r="S13" s="56" t="s">
        <v>4</v>
      </c>
      <c r="T13" s="56"/>
      <c r="U13" s="56"/>
      <c r="V13" s="56" t="s">
        <v>5</v>
      </c>
      <c r="W13" s="57" t="s">
        <v>6</v>
      </c>
      <c r="X13" s="6"/>
    </row>
    <row r="14" spans="3:24" ht="17.25" customHeight="1">
      <c r="C14" s="5"/>
      <c r="D14" s="53"/>
      <c r="E14" s="55"/>
      <c r="F14" s="55" t="s">
        <v>7</v>
      </c>
      <c r="G14" s="45" t="s">
        <v>8</v>
      </c>
      <c r="H14" s="45"/>
      <c r="I14" s="45"/>
      <c r="J14" s="45"/>
      <c r="K14" s="45"/>
      <c r="L14" s="45" t="s">
        <v>9</v>
      </c>
      <c r="M14" s="45"/>
      <c r="N14" s="45"/>
      <c r="O14" s="45"/>
      <c r="P14" s="45"/>
      <c r="Q14" s="45" t="s">
        <v>10</v>
      </c>
      <c r="R14" s="45" t="s">
        <v>11</v>
      </c>
      <c r="S14" s="45" t="s">
        <v>7</v>
      </c>
      <c r="T14" s="45" t="s">
        <v>12</v>
      </c>
      <c r="U14" s="45"/>
      <c r="V14" s="45"/>
      <c r="W14" s="58"/>
      <c r="X14" s="6"/>
    </row>
    <row r="15" spans="3:24" ht="60" customHeight="1">
      <c r="C15" s="5"/>
      <c r="D15" s="53"/>
      <c r="E15" s="55"/>
      <c r="F15" s="55"/>
      <c r="G15" s="8" t="s">
        <v>7</v>
      </c>
      <c r="H15" s="8" t="s">
        <v>13</v>
      </c>
      <c r="I15" s="8" t="s">
        <v>14</v>
      </c>
      <c r="J15" s="8" t="s">
        <v>15</v>
      </c>
      <c r="K15" s="8" t="s">
        <v>16</v>
      </c>
      <c r="L15" s="8" t="s">
        <v>7</v>
      </c>
      <c r="M15" s="8" t="s">
        <v>13</v>
      </c>
      <c r="N15" s="8" t="s">
        <v>14</v>
      </c>
      <c r="O15" s="8" t="s">
        <v>15</v>
      </c>
      <c r="P15" s="8" t="s">
        <v>16</v>
      </c>
      <c r="Q15" s="45"/>
      <c r="R15" s="45"/>
      <c r="S15" s="45"/>
      <c r="T15" s="39" t="s">
        <v>10</v>
      </c>
      <c r="U15" s="39" t="s">
        <v>11</v>
      </c>
      <c r="V15" s="45"/>
      <c r="W15" s="58"/>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42" t="str">
        <f>IF(________prd2="","Не определено",________prd2)</f>
        <v>Сентябрь</v>
      </c>
      <c r="E18" s="43"/>
      <c r="F18" s="43"/>
      <c r="G18" s="43"/>
      <c r="H18" s="43"/>
      <c r="I18" s="43"/>
      <c r="J18" s="43"/>
      <c r="K18" s="43"/>
      <c r="L18" s="43"/>
      <c r="M18" s="43"/>
      <c r="N18" s="43"/>
      <c r="O18" s="43"/>
      <c r="P18" s="43"/>
      <c r="Q18" s="43"/>
      <c r="R18" s="43"/>
      <c r="S18" s="43"/>
      <c r="T18" s="43"/>
      <c r="U18" s="43"/>
      <c r="V18" s="43"/>
      <c r="W18" s="44"/>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79.082999999999998</v>
      </c>
      <c r="G20" s="21">
        <f t="shared" si="0"/>
        <v>79.082999999999998</v>
      </c>
      <c r="H20" s="21">
        <f t="shared" si="0"/>
        <v>0</v>
      </c>
      <c r="I20" s="21">
        <f t="shared" si="0"/>
        <v>18.326000000000001</v>
      </c>
      <c r="J20" s="21">
        <f t="shared" si="0"/>
        <v>20.905000000000001</v>
      </c>
      <c r="K20" s="21">
        <f t="shared" si="0"/>
        <v>39.851999999999997</v>
      </c>
      <c r="L20" s="21">
        <f t="shared" si="0"/>
        <v>0</v>
      </c>
      <c r="M20" s="21">
        <f t="shared" si="0"/>
        <v>0</v>
      </c>
      <c r="N20" s="21">
        <f t="shared" si="0"/>
        <v>0</v>
      </c>
      <c r="O20" s="21">
        <f t="shared" si="0"/>
        <v>0</v>
      </c>
      <c r="P20" s="21">
        <f t="shared" si="0"/>
        <v>0</v>
      </c>
      <c r="Q20" s="21">
        <f>IF(G20=0,0,T20/G20)</f>
        <v>2.8464077999999997</v>
      </c>
      <c r="R20" s="21">
        <f>IF(L20=0,0,U20/L20)</f>
        <v>0</v>
      </c>
      <c r="S20" s="21">
        <f>SUM(S21:S23)</f>
        <v>225.10246804739998</v>
      </c>
      <c r="T20" s="21">
        <f>SUM(T21:T23)</f>
        <v>225.10246804739998</v>
      </c>
      <c r="U20" s="21">
        <f>SUM(U21:U23)</f>
        <v>0</v>
      </c>
      <c r="V20" s="21">
        <f>SUM(V21:V23)</f>
        <v>0</v>
      </c>
      <c r="W20" s="22">
        <f>SUM(W21:W23)</f>
        <v>225.10246804739998</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79.082999999999998</v>
      </c>
      <c r="G22" s="21">
        <f>H22+I22+J22+K22</f>
        <v>79.082999999999998</v>
      </c>
      <c r="H22" s="26">
        <v>0</v>
      </c>
      <c r="I22" s="26">
        <v>18.326000000000001</v>
      </c>
      <c r="J22" s="26">
        <v>20.905000000000001</v>
      </c>
      <c r="K22" s="26">
        <v>39.851999999999997</v>
      </c>
      <c r="L22" s="21">
        <f>M22+N22+O22+P22</f>
        <v>0</v>
      </c>
      <c r="M22" s="26">
        <v>0</v>
      </c>
      <c r="N22" s="26">
        <v>0</v>
      </c>
      <c r="O22" s="26">
        <v>0</v>
      </c>
      <c r="P22" s="26">
        <v>0</v>
      </c>
      <c r="Q22" s="26">
        <f>2.41221*1.18</f>
        <v>2.8464077999999997</v>
      </c>
      <c r="R22" s="26">
        <v>0</v>
      </c>
      <c r="S22" s="21">
        <f>T22+U22</f>
        <v>225.10246804739998</v>
      </c>
      <c r="T22" s="26">
        <f>F22*Q22</f>
        <v>225.10246804739998</v>
      </c>
      <c r="U22" s="26">
        <v>0</v>
      </c>
      <c r="V22" s="26">
        <v>0</v>
      </c>
      <c r="W22" s="27">
        <f>S22-V22</f>
        <v>225.10246804739998</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37" spans="10:12" ht="12.75">
      <c r="J37" s="59"/>
      <c r="K37" s="59"/>
      <c r="L37" s="59"/>
    </row>
  </sheetData>
  <mergeCells count="18">
    <mergeCell ref="D10:W10"/>
    <mergeCell ref="D11:W11"/>
    <mergeCell ref="D13:D15"/>
    <mergeCell ref="E13:E15"/>
    <mergeCell ref="F13:P13"/>
    <mergeCell ref="Q13:R13"/>
    <mergeCell ref="S13:U13"/>
    <mergeCell ref="V13:V15"/>
    <mergeCell ref="W13:W15"/>
    <mergeCell ref="F14:F15"/>
    <mergeCell ref="D18:W18"/>
    <mergeCell ref="J37:L37"/>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январь</vt:lpstr>
      <vt:lpstr>февраль</vt:lpstr>
      <vt:lpstr>март</vt:lpstr>
      <vt:lpstr>апрель</vt:lpstr>
      <vt:lpstr>май</vt:lpstr>
      <vt:lpstr>июнь</vt:lpstr>
      <vt:lpstr>июль</vt:lpstr>
      <vt:lpstr>август</vt:lpstr>
      <vt:lpstr>сентябрь</vt:lpstr>
      <vt:lpstr>октябрь</vt:lpstr>
      <vt:lpstr>ноябрь</vt:lpstr>
      <vt:lpstr>декабрь</vt:lpstr>
      <vt:lpstr>2016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2017-12-27T06:03:07Z</dcterms:modified>
</cp:coreProperties>
</file>